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<sst xmlns="http://schemas.openxmlformats.org/spreadsheetml/2006/main" count="2238" uniqueCount="299">
  <si>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</si>
  <si>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</si>
  <si>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</si>
  <si>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</si>
  <si>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</si>
  <si>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</si>
  <si>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</si>
  <si>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</si>
  <si>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</si>
  <si>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</si>
  <si>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</si>
  <si>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</si>
  <si>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</si>
  <si>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</si>
  <si>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</si>
  <si>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</si>
  <si>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</si>
  <si>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</si>
  <si>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</si>
  <si>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</si>
  <si>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</si>
  <si>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</si>
  <si>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</si>
  <si>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</si>
  <si>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</si>
  <si>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</si>
  <si>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</si>
  <si>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</si>
  <si>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</si>
  <si>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</si>
  <si>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</si>
  <si>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</si>
  <si>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</si>
  <si>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</si>
  <si>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</si>
  <si>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</si>
  <si>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</si>
  <si>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</si>
  <si>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</si>
  <si>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</si>
  <si>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</si>
  <si>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</si>
  <si>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</si>
  <si>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</si>
  <si>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</si>
  <si>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</si>
  <si>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</si>
  <si>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</si>
  <si>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</si>
  <si>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</si>
  <si>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</si>
  <si>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</si>
  <si>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</si>
  <si>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</si>
  <si>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</si>
  <si>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</si>
  <si>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</si>
  <si>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</si>
  <si>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</si>
  <si>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</si>
  <si>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</si>
  <si>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</si>
  <si>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</si>
  <si>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</si>
  <si>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</si>
  <si>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</si>
  <si>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</si>
  <si>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</si>
  <si>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</si>
  <si>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</si>
  <si>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</si>
  <si>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</si>
  <si>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</si>
  <si>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</si>
  <si>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</si>
  <si>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</si>
  <si>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</si>
  <si>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</si>
  <si>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</si>
  <si>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</si>
  <si>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</si>
  <si>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</si>
  <si>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</si>
  <si>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</si>
  <si>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</si>
  <si>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</si>
  <si>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</si>
  <si>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</si>
  <si>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</si>
  <si>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</si>
  <si>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</si>
  <si>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</si>
  <si>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</si>
  <si>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</si>
  <si>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</si>
  <si>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</si>
  <si>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</si>
  <si>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</si>
  <si>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</si>
  <si>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</si>
  <si>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</si>
  <si>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</si>
  <si>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</si>
  <si>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</si>
  <si>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</si>
  <si>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</si>
  <si>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</si>
  <si>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</si>
  <si>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</si>
  <si>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</si>
  <si>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</si>
  <si>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</si>
  <si>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</si>
  <si>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</si>
  <si>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</si>
  <si>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</si>
  <si>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</si>
  <si>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</si>
  <si>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</si>
  <si>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</si>
  <si>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</si>
  <si>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</si>
  <si>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</si>
  <si>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</si>
  <si>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</si>
  <si>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</si>
  <si>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</si>
  <si>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</si>
  <si>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</si>
  <si>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</si>
  <si>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</si>
  <si>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</si>
  <si>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</si>
  <si>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</si>
  <si>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</si>
  <si>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</si>
  <si>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</si>
  <si>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</si>
  <si>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</si>
  <si>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</si>
  <si>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</si>
  <si>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</si>
  <si>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</si>
  <si>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</si>
  <si>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</si>
  <si>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</si>
  <si>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</si>
  <si>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</si>
  <si>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</si>
  <si>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</si>
  <si>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</si>
  <si>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</si>
  <si>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</si>
  <si>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</si>
  <si>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</si>
  <si>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</si>
  <si>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</si>
  <si>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</si>
  <si>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</si>
  <si>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</si>
  <si>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</si>
  <si>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</si>
  <si>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</si>
  <si>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</si>
  <si>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</si>
  <si>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</si>
  <si>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</si>
  <si>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</si>
  <si>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</si>
  <si>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</si>
  <si>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</si>
  <si>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</si>
  <si>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</si>
  <si>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</si>
  <si>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</si>
  <si>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</si>
  <si>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</si>
  <si>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</si>
  <si>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</si>
  <si>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</si>
  <si>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</si>
  <si>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</si>
  <si>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</si>
  <si>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</si>
  <si>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</si>
  <si>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</si>
  <si>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</si>
  <si>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</si>
  <si>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</si>
  <si>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</si>
  <si>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</si>
  <si>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</si>
  <si>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</si>
  <si>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</si>
  <si>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</si>
  <si>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</si>
  <si>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</si>
  <si>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</si>
  <si>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</si>
  <si>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</si>
  <si>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</si>
  <si>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</si>
  <si>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</si>
  <si>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</si>
  <si>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</si>
  <si>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</si>
  <si>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</si>
  <si>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</si>
  <si>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</si>
  <si>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</si>
  <si>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</si>
  <si>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</si>
  <si>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</si>
  <si>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</si>
  <si>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</si>
  <si>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</si>
  <si>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</si>
  <si>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</si>
  <si>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</si>
  <si>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</si>
  <si>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</si>
  <si>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</si>
  <si>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</si>
  <si>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</si>
  <si>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</si>
  <si>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</si>
  <si>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</si>
  <si>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</si>
  <si>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</si>
  <si>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</si>
  <si>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</si>
  <si>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</si>
  <si>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</si>
  <si>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</si>
  <si>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</si>
  <si>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</si>
  <si>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</si>
  <si>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</si>
  <si>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</si>
  <si>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</si>
  <si>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</si>
  <si>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</si>
  <si>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</si>
  <si>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</si>
  <si>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</si>
  <si>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</si>
  <si>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</si>
  <si>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</si>
  <si>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</si>
  <si>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</si>
  <si>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</si>
  <si>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</si>
  <si>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</si>
  <si>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</si>
  <si>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</si>
  <si>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</si>
  <si>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</si>
  <si>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</si>
  <si>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</si>
  <si>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</si>
  <si>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</si>
  <si>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</si>
  <si>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</si>
  <si>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</si>
  <si>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</si>
  <si>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</si>
  <si>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</si>
  <si>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</si>
  <si>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</si>
  <si>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</si>
  <si>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</si>
  <si>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</si>
  <si>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</si>
  <si>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</si>
  <si>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</si>
  <si>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</si>
  <si>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</si>
  <si>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</si>
  <si>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</si>
  <si>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</si>
  <si>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</si>
  <si>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</si>
  <si>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</si>
  <si>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</si>
  <si>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</si>
  <si>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</si>
  <si>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</si>
  <si>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</si>
  <si>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</si>
  <si>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</si>
  <si>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04.11.2014</t>
    </r>
    <r>
      <rPr>
        <b/>
        <sz val="16"/>
        <rFont val="Times New Roman"/>
        <family val="1"/>
      </rPr>
      <t>р.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</si>
  <si>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</si>
  <si>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</si>
  <si>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</si>
  <si>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</si>
  <si>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</si>
  <si>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03.11.14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</si>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</sst>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16272633.139999999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0" sqref="G150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295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292</v>
      </c>
      <c r="H4" s="206" t="s">
        <v>280</v>
      </c>
      <c r="I4" s="202" t="s">
        <v>188</v>
      </c>
      <c r="J4" s="208" t="s">
        <v>189</v>
      </c>
      <c r="K4" s="195" t="s">
        <v>293</v>
      </c>
      <c r="L4" s="196"/>
      <c r="M4" s="216"/>
      <c r="N4" s="200" t="s">
        <v>296</v>
      </c>
      <c r="O4" s="202" t="s">
        <v>136</v>
      </c>
      <c r="P4" s="202" t="s">
        <v>135</v>
      </c>
      <c r="Q4" s="195" t="s">
        <v>298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291</v>
      </c>
      <c r="F5" s="219"/>
      <c r="G5" s="205"/>
      <c r="H5" s="207"/>
      <c r="I5" s="203"/>
      <c r="J5" s="209"/>
      <c r="K5" s="197"/>
      <c r="L5" s="198"/>
      <c r="M5" s="151" t="s">
        <v>294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389369.68999999994</v>
      </c>
      <c r="G8" s="22">
        <f aca="true" t="shared" si="0" ref="G8:G30">F8-E8</f>
        <v>-41888.340000000026</v>
      </c>
      <c r="H8" s="51">
        <f>F8/E8*100</f>
        <v>90.28694259907462</v>
      </c>
      <c r="I8" s="36">
        <f aca="true" t="shared" si="1" ref="I8:I17">F8-D8</f>
        <v>-99106.61000000004</v>
      </c>
      <c r="J8" s="36">
        <f aca="true" t="shared" si="2" ref="J8:J14">F8/D8*100</f>
        <v>79.7110709362972</v>
      </c>
      <c r="K8" s="36">
        <f>F8-421084.1</f>
        <v>-31714.410000000033</v>
      </c>
      <c r="L8" s="136">
        <f>F8/421084.1</f>
        <v>0.924683905186636</v>
      </c>
      <c r="M8" s="22">
        <f>M10+M19+M33+M56+M68+M30</f>
        <v>40254.39000000002</v>
      </c>
      <c r="N8" s="22">
        <f>N10+N19+N33+N56+N68+N30</f>
        <v>610.4399999999785</v>
      </c>
      <c r="O8" s="36">
        <f aca="true" t="shared" si="3" ref="O8:O71">N8-M8</f>
        <v>-39643.95000000004</v>
      </c>
      <c r="P8" s="36">
        <f>F8/M8*100</f>
        <v>967.2726129994759</v>
      </c>
      <c r="Q8" s="36">
        <f>N8-39535.7</f>
        <v>-38925.26000000002</v>
      </c>
      <c r="R8" s="134">
        <f>N8/39535.7</f>
        <v>0.01544022238129029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316626.29</v>
      </c>
      <c r="G9" s="22">
        <f t="shared" si="0"/>
        <v>316626.29</v>
      </c>
      <c r="H9" s="20"/>
      <c r="I9" s="56">
        <f t="shared" si="1"/>
        <v>-70386.91000000003</v>
      </c>
      <c r="J9" s="56">
        <f t="shared" si="2"/>
        <v>81.81278829766012</v>
      </c>
      <c r="K9" s="56"/>
      <c r="L9" s="135"/>
      <c r="M9" s="20">
        <f>M10+M17</f>
        <v>32301.900000000023</v>
      </c>
      <c r="N9" s="20">
        <f>N10+N17</f>
        <v>604.0999999999767</v>
      </c>
      <c r="O9" s="36">
        <f t="shared" si="3"/>
        <v>-31697.800000000047</v>
      </c>
      <c r="P9" s="56">
        <f>F9/M9*100</f>
        <v>980.2094923208844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316626.29</v>
      </c>
      <c r="G10" s="49">
        <f t="shared" si="0"/>
        <v>-35381.71000000002</v>
      </c>
      <c r="H10" s="40">
        <f aca="true" t="shared" si="4" ref="H10:H17">F10/E10*100</f>
        <v>89.94860628167541</v>
      </c>
      <c r="I10" s="56">
        <f t="shared" si="1"/>
        <v>-70386.91000000003</v>
      </c>
      <c r="J10" s="56">
        <f t="shared" si="2"/>
        <v>81.81278829766012</v>
      </c>
      <c r="K10" s="141">
        <f>F10-334336.4</f>
        <v>-17710.110000000044</v>
      </c>
      <c r="L10" s="142">
        <f>F10/334336.4</f>
        <v>0.9470290701221882</v>
      </c>
      <c r="M10" s="40">
        <f>E10-жовтень!E10</f>
        <v>32301.900000000023</v>
      </c>
      <c r="N10" s="40">
        <f>F10-жовтень!F10</f>
        <v>604.0999999999767</v>
      </c>
      <c r="O10" s="53">
        <f t="shared" si="3"/>
        <v>-31697.800000000047</v>
      </c>
      <c r="P10" s="56">
        <f aca="true" t="shared" si="5" ref="P10:P17">N10/M10*100</f>
        <v>1.870168627851539</v>
      </c>
      <c r="Q10" s="141">
        <f>N10-32243.9</f>
        <v>-31639.800000000025</v>
      </c>
      <c r="R10" s="142">
        <f>N10/32243.9</f>
        <v>0.01873532668194532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-880.89</v>
      </c>
      <c r="G19" s="49">
        <f t="shared" si="0"/>
        <v>-1960.4899999999998</v>
      </c>
      <c r="H19" s="40">
        <f aca="true" t="shared" si="6" ref="H19:H29">F19/E19*100</f>
        <v>-81.59410892923306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F19-7207</f>
        <v>-8087.89</v>
      </c>
      <c r="L19" s="168">
        <f>F19/7207</f>
        <v>-0.12222700152629389</v>
      </c>
      <c r="M19" s="40">
        <f>E19-жовтень!E19</f>
        <v>12</v>
      </c>
      <c r="N19" s="40">
        <f>F19-жовтень!F19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N19-363.4</f>
        <v>-363.4</v>
      </c>
      <c r="R19" s="135">
        <f>N19/363.4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-381.9</v>
      </c>
      <c r="G29" s="49">
        <f t="shared" si="0"/>
        <v>-1201.5</v>
      </c>
      <c r="H29" s="40">
        <f t="shared" si="6"/>
        <v>-46.59590043923865</v>
      </c>
      <c r="I29" s="56">
        <f t="shared" si="7"/>
        <v>-1311.9</v>
      </c>
      <c r="J29" s="56">
        <f t="shared" si="8"/>
        <v>-41.064516129032256</v>
      </c>
      <c r="K29" s="148">
        <f>F29-3580.01</f>
        <v>-3961.9100000000003</v>
      </c>
      <c r="L29" s="149">
        <f>F29/3580.01</f>
        <v>-0.1066756796768724</v>
      </c>
      <c r="M29" s="40">
        <f>E29-жовтень!E29</f>
        <v>12</v>
      </c>
      <c r="N29" s="40">
        <f>F29-жовтень!F29</f>
        <v>0</v>
      </c>
      <c r="O29" s="148">
        <f t="shared" si="3"/>
        <v>-12</v>
      </c>
      <c r="P29" s="145">
        <f t="shared" si="9"/>
        <v>0</v>
      </c>
      <c r="Q29" s="148">
        <f>N29-664.71</f>
        <v>-664.71</v>
      </c>
      <c r="R29" s="149">
        <f>N29/664.71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68228.92</v>
      </c>
      <c r="G33" s="49">
        <f aca="true" t="shared" si="14" ref="G33:G72">F33-E33</f>
        <v>-3684.5099999999948</v>
      </c>
      <c r="H33" s="40">
        <f aca="true" t="shared" si="15" ref="H33:H67">F33/E33*100</f>
        <v>94.87646466035622</v>
      </c>
      <c r="I33" s="56">
        <f>F33-D33</f>
        <v>-25337.08</v>
      </c>
      <c r="J33" s="56">
        <f aca="true" t="shared" si="16" ref="J33:J72">F33/D33*100</f>
        <v>72.92063356347391</v>
      </c>
      <c r="K33" s="141">
        <f>F33-73845.7</f>
        <v>-5616.779999999999</v>
      </c>
      <c r="L33" s="142">
        <f>F33/73845.7</f>
        <v>0.9239389700415868</v>
      </c>
      <c r="M33" s="40">
        <f>E33-жовтень!E33</f>
        <v>7377.5899999999965</v>
      </c>
      <c r="N33" s="40">
        <f>F33-жовтень!F33</f>
        <v>-37.919999999998254</v>
      </c>
      <c r="O33" s="53">
        <f t="shared" si="3"/>
        <v>-7415.509999999995</v>
      </c>
      <c r="P33" s="56">
        <f aca="true" t="shared" si="17" ref="P33:P67">N33/M33*100</f>
        <v>-0.5139889855630128</v>
      </c>
      <c r="Q33" s="141">
        <f>N33-6429.9</f>
        <v>-6467.819999999998</v>
      </c>
      <c r="R33" s="142">
        <f>N33/6429.9</f>
        <v>-0.005897447860775168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50738.94</v>
      </c>
      <c r="G55" s="144">
        <f t="shared" si="14"/>
        <v>-2109.5899999999965</v>
      </c>
      <c r="H55" s="146">
        <f t="shared" si="15"/>
        <v>96.00823334158964</v>
      </c>
      <c r="I55" s="145">
        <f t="shared" si="18"/>
        <v>-19527.059999999998</v>
      </c>
      <c r="J55" s="145">
        <f t="shared" si="16"/>
        <v>72.20980274955171</v>
      </c>
      <c r="K55" s="148">
        <f>F55-53912.95</f>
        <v>-3174.0099999999948</v>
      </c>
      <c r="L55" s="149">
        <f>F55/53912.95</f>
        <v>0.9411271317930109</v>
      </c>
      <c r="M55" s="40">
        <f>E55-жовтень!E55</f>
        <v>5442.989999999998</v>
      </c>
      <c r="N55" s="40">
        <f>F55-жовтень!F55</f>
        <v>34.29000000000087</v>
      </c>
      <c r="O55" s="148">
        <f t="shared" si="3"/>
        <v>-5408.699999999997</v>
      </c>
      <c r="P55" s="148">
        <f t="shared" si="17"/>
        <v>0.6299846224226185</v>
      </c>
      <c r="Q55" s="160">
        <f>N55-4756.32</f>
        <v>-4722.029999999999</v>
      </c>
      <c r="R55" s="161">
        <f>N55/4756.32</f>
        <v>0.00720935513169864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1.51+5360.66</f>
        <v>5362.17</v>
      </c>
      <c r="G56" s="49">
        <f t="shared" si="14"/>
        <v>-857.7299999999996</v>
      </c>
      <c r="H56" s="40">
        <f t="shared" si="15"/>
        <v>86.20990691168669</v>
      </c>
      <c r="I56" s="56">
        <f t="shared" si="18"/>
        <v>-1497.83</v>
      </c>
      <c r="J56" s="56">
        <f t="shared" si="16"/>
        <v>78.16574344023324</v>
      </c>
      <c r="K56" s="56">
        <f>F56-6560</f>
        <v>-1197.83</v>
      </c>
      <c r="L56" s="135">
        <f>F56/6560</f>
        <v>0.8174039634146342</v>
      </c>
      <c r="M56" s="40">
        <f>E56-жовтень!E56</f>
        <v>553.3999999999996</v>
      </c>
      <c r="N56" s="40">
        <f>F56-жовтень!F56</f>
        <v>16.210000000000036</v>
      </c>
      <c r="O56" s="53">
        <f t="shared" si="3"/>
        <v>-537.1899999999996</v>
      </c>
      <c r="P56" s="56">
        <f t="shared" si="17"/>
        <v>2.929165160824006</v>
      </c>
      <c r="Q56" s="56">
        <f>N56-486.5</f>
        <v>-470.28999999999996</v>
      </c>
      <c r="R56" s="135">
        <f>N56/486.5</f>
        <v>0.033319630010277566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10808.26</v>
      </c>
      <c r="G74" s="50">
        <f aca="true" t="shared" si="24" ref="G74:G92">F74-E74</f>
        <v>-4468.74</v>
      </c>
      <c r="H74" s="51">
        <f aca="true" t="shared" si="25" ref="H74:H87">F74/E74*100</f>
        <v>70.74857629115664</v>
      </c>
      <c r="I74" s="36">
        <f aca="true" t="shared" si="26" ref="I74:I92">F74-D74</f>
        <v>-7550.039999999999</v>
      </c>
      <c r="J74" s="36">
        <f aca="true" t="shared" si="27" ref="J74:J92">F74/D74*100</f>
        <v>58.87396981201963</v>
      </c>
      <c r="K74" s="36">
        <f>F74-17827.8</f>
        <v>-7019.539999999999</v>
      </c>
      <c r="L74" s="136">
        <f>F74/17827.8</f>
        <v>0.6062587644016648</v>
      </c>
      <c r="M74" s="22">
        <f>M77+M86+M88+M89+M94+M95+M96+M97+M99+M87+M104</f>
        <v>1580.5</v>
      </c>
      <c r="N74" s="22">
        <f>N77+N86+N88+N89+N94+N95+N96+N97+N99+N32+N104+N87+N103</f>
        <v>19.350000000000136</v>
      </c>
      <c r="O74" s="55">
        <f aca="true" t="shared" si="28" ref="O74:O92">N74-M74</f>
        <v>-1561.1499999999999</v>
      </c>
      <c r="P74" s="36">
        <f>N74/M74*100</f>
        <v>1.2242961088263293</v>
      </c>
      <c r="Q74" s="36">
        <f>N74-1502.5</f>
        <v>-1483.1499999999999</v>
      </c>
      <c r="R74" s="136">
        <f>N74/1502.5</f>
        <v>0.012878535773710573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123.45</v>
      </c>
      <c r="G77" s="49">
        <f t="shared" si="24"/>
        <v>-36.55</v>
      </c>
      <c r="H77" s="40">
        <f t="shared" si="25"/>
        <v>77.15625</v>
      </c>
      <c r="I77" s="56">
        <f t="shared" si="26"/>
        <v>-376.55</v>
      </c>
      <c r="J77" s="56">
        <f t="shared" si="27"/>
        <v>24.69</v>
      </c>
      <c r="K77" s="167">
        <f>F77-1728.8</f>
        <v>-1605.35</v>
      </c>
      <c r="L77" s="168">
        <f>F77/1728.8</f>
        <v>0.07140791300323925</v>
      </c>
      <c r="M77" s="40">
        <f>E77-жовтень!E77</f>
        <v>50</v>
      </c>
      <c r="N77" s="40">
        <f>F77-жовтень!F77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N77-11.1</f>
        <v>-11.1</v>
      </c>
      <c r="R77" s="135">
        <f>N77/11.1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F87-227.9</f>
        <v>51.70000000000002</v>
      </c>
      <c r="L87" s="135">
        <f>F87/227.9</f>
        <v>1.2268538832821414</v>
      </c>
      <c r="M87" s="40">
        <f>E87-жовтень!E87</f>
        <v>0</v>
      </c>
      <c r="N87" s="40">
        <f>F87-жовтень!F87</f>
        <v>0</v>
      </c>
      <c r="O87" s="53">
        <f t="shared" si="28"/>
        <v>0</v>
      </c>
      <c r="P87" s="56" t="e">
        <f t="shared" si="29"/>
        <v>#DIV/0!</v>
      </c>
      <c r="Q87" s="56">
        <f>N87-5.7</f>
        <v>-5.7</v>
      </c>
      <c r="R87" s="135">
        <f>N87/5.7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5.6</v>
      </c>
      <c r="G88" s="49">
        <f t="shared" si="24"/>
        <v>1.0999999999999996</v>
      </c>
      <c r="H88" s="40">
        <f>F88/E88*100</f>
        <v>124.44444444444444</v>
      </c>
      <c r="I88" s="56">
        <f t="shared" si="26"/>
        <v>0.5</v>
      </c>
      <c r="J88" s="56">
        <f t="shared" si="27"/>
        <v>109.80392156862746</v>
      </c>
      <c r="K88" s="56">
        <f>F88-4.9</f>
        <v>0.6999999999999993</v>
      </c>
      <c r="L88" s="135"/>
      <c r="M88" s="40">
        <f>E88-жовтень!E88</f>
        <v>0.5</v>
      </c>
      <c r="N88" s="40">
        <f>F88-жовтень!F88</f>
        <v>0</v>
      </c>
      <c r="O88" s="53">
        <f t="shared" si="28"/>
        <v>-0.5</v>
      </c>
      <c r="P88" s="56">
        <f>N88/M88*100</f>
        <v>0</v>
      </c>
      <c r="Q88" s="56">
        <f>N88-0.5</f>
        <v>-0.5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112.45</v>
      </c>
      <c r="G89" s="49">
        <f t="shared" si="24"/>
        <v>-46.55</v>
      </c>
      <c r="H89" s="40">
        <f>F89/E89*100</f>
        <v>70.72327044025157</v>
      </c>
      <c r="I89" s="56">
        <f t="shared" si="26"/>
        <v>-62.55</v>
      </c>
      <c r="J89" s="56">
        <f t="shared" si="27"/>
        <v>64.25714285714285</v>
      </c>
      <c r="K89" s="56">
        <f>F89-147.9</f>
        <v>-35.45</v>
      </c>
      <c r="L89" s="135">
        <f>F89/147.9</f>
        <v>0.7603110209601082</v>
      </c>
      <c r="M89" s="40">
        <f>E89-жовтень!E89</f>
        <v>15</v>
      </c>
      <c r="N89" s="40">
        <f>F89-жовтень!F89</f>
        <v>0</v>
      </c>
      <c r="O89" s="53">
        <f t="shared" si="28"/>
        <v>-15</v>
      </c>
      <c r="P89" s="56">
        <f>N89/M89*100</f>
        <v>0</v>
      </c>
      <c r="Q89" s="56">
        <f>N89-10.4</f>
        <v>-10.4</v>
      </c>
      <c r="R89" s="135">
        <f>N89/10.4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5937.2</v>
      </c>
      <c r="G95" s="49">
        <f t="shared" si="31"/>
        <v>-469.3000000000002</v>
      </c>
      <c r="H95" s="40">
        <f>F95/E95*100</f>
        <v>92.67462733161632</v>
      </c>
      <c r="I95" s="56">
        <f t="shared" si="32"/>
        <v>-1062.8000000000002</v>
      </c>
      <c r="J95" s="56">
        <f>F95/D95*100</f>
        <v>84.81714285714285</v>
      </c>
      <c r="K95" s="56">
        <f>F95-6761</f>
        <v>-823.8000000000002</v>
      </c>
      <c r="L95" s="135">
        <f>F95/6761</f>
        <v>0.8781541192131341</v>
      </c>
      <c r="M95" s="40">
        <f>E95-жовтень!E95</f>
        <v>575</v>
      </c>
      <c r="N95" s="40">
        <f>F95-жовтень!F95</f>
        <v>0.0500000000001819</v>
      </c>
      <c r="O95" s="53">
        <f t="shared" si="33"/>
        <v>-574.9499999999998</v>
      </c>
      <c r="P95" s="56">
        <f>N95/M95*100</f>
        <v>0.008695652173944678</v>
      </c>
      <c r="Q95" s="56">
        <f>N95-591</f>
        <v>-590.9499999999998</v>
      </c>
      <c r="R95" s="135">
        <f>N95/591</f>
        <v>8.460236886663603E-05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866.83</v>
      </c>
      <c r="G96" s="49">
        <f t="shared" si="31"/>
        <v>-147.66999999999996</v>
      </c>
      <c r="H96" s="40">
        <f>F96/E96*100</f>
        <v>85.44406111384919</v>
      </c>
      <c r="I96" s="56">
        <f t="shared" si="32"/>
        <v>-333.16999999999996</v>
      </c>
      <c r="J96" s="56">
        <f>F96/D96*100</f>
        <v>72.23583333333333</v>
      </c>
      <c r="K96" s="56">
        <f>F96-1013.8</f>
        <v>-146.9699999999999</v>
      </c>
      <c r="L96" s="135">
        <f>F96/1013.8</f>
        <v>0.8550305780232789</v>
      </c>
      <c r="M96" s="40">
        <f>E96-жовтень!E96</f>
        <v>110</v>
      </c>
      <c r="N96" s="40">
        <f>F96-жовтень!F96</f>
        <v>1.6600000000000819</v>
      </c>
      <c r="O96" s="53">
        <f t="shared" si="33"/>
        <v>-108.33999999999992</v>
      </c>
      <c r="P96" s="56">
        <f>N96/M96*100</f>
        <v>1.5090909090909834</v>
      </c>
      <c r="Q96" s="56">
        <f>N96-83.7</f>
        <v>-82.03999999999992</v>
      </c>
      <c r="R96" s="135">
        <f>N96/83.7</f>
        <v>0.019832735961769196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3464.58</v>
      </c>
      <c r="G99" s="49">
        <f t="shared" si="31"/>
        <v>-202.42000000000007</v>
      </c>
      <c r="H99" s="40">
        <f>F99/E99*100</f>
        <v>94.47995636760295</v>
      </c>
      <c r="I99" s="56">
        <f t="shared" si="32"/>
        <v>-1108.12</v>
      </c>
      <c r="J99" s="56">
        <f>F99/D99*100</f>
        <v>75.76661491022809</v>
      </c>
      <c r="K99" s="56">
        <f>F99-4178.8</f>
        <v>-714.2200000000003</v>
      </c>
      <c r="L99" s="135">
        <f>F99/4178.8</f>
        <v>0.8290849047573465</v>
      </c>
      <c r="M99" s="40">
        <f>E99-жовтень!E99</f>
        <v>330</v>
      </c>
      <c r="N99" s="40">
        <f>F99-жовтень!F99</f>
        <v>17.639999999999873</v>
      </c>
      <c r="O99" s="53">
        <f t="shared" si="33"/>
        <v>-312.3600000000001</v>
      </c>
      <c r="P99" s="56">
        <f>N99/M99*100</f>
        <v>5.345454545454507</v>
      </c>
      <c r="Q99" s="56">
        <f>N99-332.8</f>
        <v>-315.16000000000014</v>
      </c>
      <c r="R99" s="135">
        <f>N99/332.8</f>
        <v>0.05300480769230731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850.1</v>
      </c>
      <c r="G102" s="144"/>
      <c r="H102" s="146"/>
      <c r="I102" s="145"/>
      <c r="J102" s="145"/>
      <c r="K102" s="148">
        <f>F102-738.2</f>
        <v>111.89999999999998</v>
      </c>
      <c r="L102" s="149">
        <f>F102/738.2</f>
        <v>1.1515849363316175</v>
      </c>
      <c r="M102" s="40">
        <f>E102-жовтень!E102</f>
        <v>0</v>
      </c>
      <c r="N102" s="40">
        <f>F102-жовтень!F102</f>
        <v>10.800000000000068</v>
      </c>
      <c r="O102" s="53"/>
      <c r="P102" s="60"/>
      <c r="Q102" s="60">
        <f>N102-89.7</f>
        <v>-78.89999999999993</v>
      </c>
      <c r="R102" s="138">
        <f>N102/89.7</f>
        <v>0.12040133779264289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21.71</v>
      </c>
      <c r="G105" s="49">
        <f>F105-E105</f>
        <v>-8.489999999999998</v>
      </c>
      <c r="H105" s="40">
        <f>F105/E105*100</f>
        <v>71.88741721854305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F105-35.8</f>
        <v>-14.089999999999996</v>
      </c>
      <c r="L105" s="135">
        <f>F105/35.8</f>
        <v>0.6064245810055867</v>
      </c>
      <c r="M105" s="40">
        <f>E105-жовтень!E105</f>
        <v>3</v>
      </c>
      <c r="N105" s="40">
        <f>F105-жовтень!F105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400200.02999999997</v>
      </c>
      <c r="G107" s="175">
        <f>F107-E107</f>
        <v>-46365.20000000001</v>
      </c>
      <c r="H107" s="51">
        <f>F107/E107*100</f>
        <v>89.61737347979376</v>
      </c>
      <c r="I107" s="36">
        <f t="shared" si="34"/>
        <v>-106679.57</v>
      </c>
      <c r="J107" s="36">
        <f t="shared" si="36"/>
        <v>78.95366670901728</v>
      </c>
      <c r="K107" s="36">
        <f>F107-438950.2</f>
        <v>-38750.17000000004</v>
      </c>
      <c r="L107" s="136">
        <f>F107/438950.2</f>
        <v>0.9117208056859296</v>
      </c>
      <c r="M107" s="22">
        <f>M8+M74+M105+M106</f>
        <v>41837.89000000002</v>
      </c>
      <c r="N107" s="22">
        <f>N8+N74+N105+N106</f>
        <v>629.7899999999786</v>
      </c>
      <c r="O107" s="55">
        <f t="shared" si="35"/>
        <v>-41208.10000000004</v>
      </c>
      <c r="P107" s="36">
        <f>N107/M107*100</f>
        <v>1.5053101387282635</v>
      </c>
      <c r="Q107" s="36">
        <f>N107-41056.6</f>
        <v>-40426.81000000002</v>
      </c>
      <c r="R107" s="136">
        <f>N107/41056.6</f>
        <v>0.015339555637826284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317493.12</v>
      </c>
      <c r="G108" s="153">
        <f>G10-G18+G96</f>
        <v>-35529.38000000002</v>
      </c>
      <c r="H108" s="72">
        <f>F108/E108*100</f>
        <v>89.93566132470309</v>
      </c>
      <c r="I108" s="52">
        <f t="shared" si="34"/>
        <v>-70720.08000000002</v>
      </c>
      <c r="J108" s="52">
        <f t="shared" si="36"/>
        <v>81.7831851158075</v>
      </c>
      <c r="K108" s="52">
        <f>F108-335439.2</f>
        <v>-17946.080000000016</v>
      </c>
      <c r="L108" s="137">
        <f>F108/335439.2</f>
        <v>0.9464997531594399</v>
      </c>
      <c r="M108" s="71">
        <f>M10-M18+M96</f>
        <v>32411.900000000023</v>
      </c>
      <c r="N108" s="71">
        <f>N10-N18+N96</f>
        <v>605.7599999999768</v>
      </c>
      <c r="O108" s="53">
        <f t="shared" si="35"/>
        <v>-31806.140000000047</v>
      </c>
      <c r="P108" s="52">
        <f>N108/M108*100</f>
        <v>1.868943196788761</v>
      </c>
      <c r="Q108" s="52">
        <f>N108-32327.7</f>
        <v>-31721.940000000024</v>
      </c>
      <c r="R108" s="137">
        <f>N108/32327.7</f>
        <v>0.018738110041851934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82706.90999999997</v>
      </c>
      <c r="G109" s="176">
        <f>F109-E109</f>
        <v>-10835.820000000007</v>
      </c>
      <c r="H109" s="72">
        <f>F109/E109*100</f>
        <v>88.41618156750395</v>
      </c>
      <c r="I109" s="52">
        <f t="shared" si="34"/>
        <v>-35959.48999999999</v>
      </c>
      <c r="J109" s="52">
        <f t="shared" si="36"/>
        <v>69.69699089211436</v>
      </c>
      <c r="K109" s="52">
        <f>F109-103511.1</f>
        <v>-20804.19000000003</v>
      </c>
      <c r="L109" s="137">
        <f>F109/103511.1</f>
        <v>0.7990148882583604</v>
      </c>
      <c r="M109" s="71">
        <f>M107-M108</f>
        <v>9425.989999999998</v>
      </c>
      <c r="N109" s="71">
        <f>N107-N108</f>
        <v>24.03000000000179</v>
      </c>
      <c r="O109" s="53">
        <f t="shared" si="35"/>
        <v>-9401.959999999995</v>
      </c>
      <c r="P109" s="52">
        <f>N109/M109*100</f>
        <v>0.25493343404779545</v>
      </c>
      <c r="Q109" s="52">
        <f>N109-8729</f>
        <v>-8704.969999999998</v>
      </c>
      <c r="R109" s="137">
        <f>N109/8729</f>
        <v>0.0027528926566619074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317493.12</v>
      </c>
      <c r="G110" s="111">
        <f>F110-E110</f>
        <v>-31189.47999999998</v>
      </c>
      <c r="H110" s="72">
        <f>F110/E110*100</f>
        <v>91.05505121276485</v>
      </c>
      <c r="I110" s="81">
        <f t="shared" si="34"/>
        <v>-70720.08000000002</v>
      </c>
      <c r="J110" s="52">
        <f t="shared" si="36"/>
        <v>81.7831851158075</v>
      </c>
      <c r="K110" s="52"/>
      <c r="L110" s="137"/>
      <c r="M110" s="72">
        <f>E110-жовтень!E110</f>
        <v>33441.899999999965</v>
      </c>
      <c r="N110" s="71">
        <f>N108</f>
        <v>605.7599999999768</v>
      </c>
      <c r="O110" s="63">
        <f t="shared" si="35"/>
        <v>-32836.139999999985</v>
      </c>
      <c r="P110" s="52">
        <f>N110/M110*100</f>
        <v>1.811380334251276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1344.08</v>
      </c>
      <c r="G115" s="49">
        <f t="shared" si="37"/>
        <v>-1990.3200000000002</v>
      </c>
      <c r="H115" s="40">
        <f aca="true" t="shared" si="39" ref="H115:H126">F115/E115*100</f>
        <v>40.3095009596929</v>
      </c>
      <c r="I115" s="60">
        <f t="shared" si="38"/>
        <v>-2327.42</v>
      </c>
      <c r="J115" s="60">
        <f aca="true" t="shared" si="40" ref="J115:J121">F115/D115*100</f>
        <v>36.60847065232194</v>
      </c>
      <c r="K115" s="60">
        <f>F115-3211.4</f>
        <v>-1867.3200000000002</v>
      </c>
      <c r="L115" s="138">
        <f>F115/3211.4</f>
        <v>0.4185339727221772</v>
      </c>
      <c r="M115" s="40">
        <f>E115-жовтень!E115</f>
        <v>327.4000000000001</v>
      </c>
      <c r="N115" s="40">
        <f>F115-жовтень!F115</f>
        <v>25.529999999999973</v>
      </c>
      <c r="O115" s="53">
        <f aca="true" t="shared" si="41" ref="O115:O126">N115-M115</f>
        <v>-301.8700000000001</v>
      </c>
      <c r="P115" s="60">
        <f>N115/M115*100</f>
        <v>7.797800855222958</v>
      </c>
      <c r="Q115" s="60">
        <f>N115-83.3</f>
        <v>-57.770000000000024</v>
      </c>
      <c r="R115" s="138">
        <f>N115/83.3</f>
        <v>0.3064825930372146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263.74</v>
      </c>
      <c r="G116" s="49">
        <f t="shared" si="37"/>
        <v>19.24000000000001</v>
      </c>
      <c r="H116" s="40">
        <f t="shared" si="39"/>
        <v>107.86912065439674</v>
      </c>
      <c r="I116" s="60">
        <f t="shared" si="38"/>
        <v>-4.360000000000014</v>
      </c>
      <c r="J116" s="60">
        <f t="shared" si="40"/>
        <v>98.37374114136516</v>
      </c>
      <c r="K116" s="60">
        <f>F116-245.6</f>
        <v>18.140000000000015</v>
      </c>
      <c r="L116" s="138">
        <f>F116/245.6</f>
        <v>1.0738599348534204</v>
      </c>
      <c r="M116" s="40">
        <f>E116-жовтень!E116</f>
        <v>22</v>
      </c>
      <c r="N116" s="40">
        <f>F116-жовтень!F116</f>
        <v>0.4900000000000091</v>
      </c>
      <c r="O116" s="53">
        <f t="shared" si="41"/>
        <v>-21.50999999999999</v>
      </c>
      <c r="P116" s="60">
        <f>N116/M116*100</f>
        <v>2.227272727272769</v>
      </c>
      <c r="Q116" s="60">
        <f>N116-24.1</f>
        <v>-23.609999999999992</v>
      </c>
      <c r="R116" s="138">
        <f>N116/24.1</f>
        <v>0.020331950207469255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1607.78</v>
      </c>
      <c r="G117" s="62">
        <f t="shared" si="37"/>
        <v>-1971.1200000000001</v>
      </c>
      <c r="H117" s="72">
        <f t="shared" si="39"/>
        <v>44.92385928637291</v>
      </c>
      <c r="I117" s="61">
        <f t="shared" si="38"/>
        <v>-2331.8199999999997</v>
      </c>
      <c r="J117" s="61">
        <f t="shared" si="40"/>
        <v>40.81074220733069</v>
      </c>
      <c r="K117" s="61">
        <f>F117-3477.6</f>
        <v>-1869.82</v>
      </c>
      <c r="L117" s="139">
        <f>F117/3477.6</f>
        <v>0.46232459167241774</v>
      </c>
      <c r="M117" s="62">
        <f>M115+M116+M114</f>
        <v>349.4000000000001</v>
      </c>
      <c r="N117" s="38">
        <f>SUM(N114:N116)</f>
        <v>26.019999999999982</v>
      </c>
      <c r="O117" s="61">
        <f t="shared" si="41"/>
        <v>-323.3800000000001</v>
      </c>
      <c r="P117" s="61">
        <f>N117/M117*100</f>
        <v>7.447052089295929</v>
      </c>
      <c r="Q117" s="61">
        <f>N117-106.6</f>
        <v>-80.58000000000001</v>
      </c>
      <c r="R117" s="139">
        <f>N117/106.6</f>
        <v>0.24409005628517808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437.85</v>
      </c>
      <c r="G119" s="49">
        <f t="shared" si="37"/>
        <v>177.35000000000002</v>
      </c>
      <c r="H119" s="40">
        <f t="shared" si="39"/>
        <v>168.0806142034549</v>
      </c>
      <c r="I119" s="60">
        <f t="shared" si="38"/>
        <v>170.65000000000003</v>
      </c>
      <c r="J119" s="60">
        <f t="shared" si="40"/>
        <v>163.8660179640719</v>
      </c>
      <c r="K119" s="60">
        <f>F119-237.7</f>
        <v>200.15000000000003</v>
      </c>
      <c r="L119" s="138">
        <f>F119/237.7</f>
        <v>1.8420277660917124</v>
      </c>
      <c r="M119" s="40">
        <f>E119-жовтень!E119</f>
        <v>0</v>
      </c>
      <c r="N119" s="40">
        <f>F119-жовтень!F119</f>
        <v>0.8500000000000227</v>
      </c>
      <c r="O119" s="53">
        <f>N119-M119</f>
        <v>0.8500000000000227</v>
      </c>
      <c r="P119" s="60" t="e">
        <f>N119/M119*100</f>
        <v>#DIV/0!</v>
      </c>
      <c r="Q119" s="60">
        <f>N119-3.5</f>
        <v>-2.6499999999999773</v>
      </c>
      <c r="R119" s="138">
        <f>N119/3.5</f>
        <v>0.24285714285714935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68519.22</v>
      </c>
      <c r="G120" s="49">
        <f t="shared" si="37"/>
        <v>-193.38000000000466</v>
      </c>
      <c r="H120" s="40">
        <f t="shared" si="39"/>
        <v>99.71856690039381</v>
      </c>
      <c r="I120" s="53">
        <f t="shared" si="38"/>
        <v>-3456.770000000004</v>
      </c>
      <c r="J120" s="60">
        <f t="shared" si="40"/>
        <v>95.19732899818398</v>
      </c>
      <c r="K120" s="60">
        <f>F120-66794.9</f>
        <v>1724.320000000007</v>
      </c>
      <c r="L120" s="138">
        <f>F120/66794.9</f>
        <v>1.0258151445694208</v>
      </c>
      <c r="M120" s="40">
        <f>E120-жовтень!E120</f>
        <v>8700.000000000007</v>
      </c>
      <c r="N120" s="40">
        <f>F120-жовтень!F120</f>
        <v>661.9400000000023</v>
      </c>
      <c r="O120" s="53">
        <f t="shared" si="41"/>
        <v>-8038.060000000005</v>
      </c>
      <c r="P120" s="60">
        <f aca="true" t="shared" si="42" ref="P120:P125">N120/M120*100</f>
        <v>7.608505747126457</v>
      </c>
      <c r="Q120" s="60">
        <f>N120-8604.8</f>
        <v>-7942.859999999997</v>
      </c>
      <c r="R120" s="138">
        <f>N120/8604.8</f>
        <v>0.07692683153588722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1754.79</v>
      </c>
      <c r="G121" s="49">
        <f t="shared" si="37"/>
        <v>-1606.4</v>
      </c>
      <c r="H121" s="40">
        <f t="shared" si="39"/>
        <v>52.20740273534076</v>
      </c>
      <c r="I121" s="60">
        <f t="shared" si="38"/>
        <v>-2995.21</v>
      </c>
      <c r="J121" s="60">
        <f t="shared" si="40"/>
        <v>36.94294736842105</v>
      </c>
      <c r="K121" s="60">
        <f>F121-1790.1</f>
        <v>-35.309999999999945</v>
      </c>
      <c r="L121" s="138">
        <f>F121/1790.1</f>
        <v>0.9802748449807274</v>
      </c>
      <c r="M121" s="40">
        <f>E121-жовтень!E121</f>
        <v>161.78999999999996</v>
      </c>
      <c r="N121" s="40">
        <f>F121-жовтень!F121</f>
        <v>0</v>
      </c>
      <c r="O121" s="53">
        <f t="shared" si="41"/>
        <v>-161.78999999999996</v>
      </c>
      <c r="P121" s="60">
        <f t="shared" si="42"/>
        <v>0</v>
      </c>
      <c r="Q121" s="60">
        <f>N121-500.5</f>
        <v>-500.5</v>
      </c>
      <c r="R121" s="138">
        <f>N121/500.5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2762.1</v>
      </c>
      <c r="G122" s="49">
        <f t="shared" si="37"/>
        <v>-17547.63</v>
      </c>
      <c r="H122" s="40">
        <f t="shared" si="39"/>
        <v>13.599885375137927</v>
      </c>
      <c r="I122" s="60">
        <f t="shared" si="38"/>
        <v>-20315.030000000002</v>
      </c>
      <c r="J122" s="60">
        <f>F122/D122*100</f>
        <v>11.96899267803232</v>
      </c>
      <c r="K122" s="60">
        <f>F122-23492</f>
        <v>-20729.9</v>
      </c>
      <c r="L122" s="138">
        <f>F122/23492</f>
        <v>0.11757619615188149</v>
      </c>
      <c r="M122" s="40">
        <f>E122-жовтень!E122</f>
        <v>2733.5</v>
      </c>
      <c r="N122" s="40">
        <f>F122-жовтень!F122</f>
        <v>0</v>
      </c>
      <c r="O122" s="53">
        <f t="shared" si="41"/>
        <v>-2733.5</v>
      </c>
      <c r="P122" s="60">
        <f t="shared" si="42"/>
        <v>0</v>
      </c>
      <c r="Q122" s="60">
        <f>N122-826.2</f>
        <v>-826.2</v>
      </c>
      <c r="R122" s="138">
        <f>N122/826.2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1234.02</v>
      </c>
      <c r="G123" s="49">
        <f t="shared" si="37"/>
        <v>-576.3800000000001</v>
      </c>
      <c r="H123" s="40">
        <f t="shared" si="39"/>
        <v>68.16283694211224</v>
      </c>
      <c r="I123" s="60">
        <f t="shared" si="38"/>
        <v>-765.98</v>
      </c>
      <c r="J123" s="60">
        <f>F123/D123*100</f>
        <v>61.70099999999999</v>
      </c>
      <c r="K123" s="60">
        <f>F123-1731.9</f>
        <v>-497.8800000000001</v>
      </c>
      <c r="L123" s="138">
        <f>F123/1731.9</f>
        <v>0.7125238177723887</v>
      </c>
      <c r="M123" s="40">
        <f>E123-жовтень!E123</f>
        <v>189.59000000000015</v>
      </c>
      <c r="N123" s="40">
        <f>F123-жовтень!F123</f>
        <v>100</v>
      </c>
      <c r="O123" s="53">
        <f t="shared" si="41"/>
        <v>-89.59000000000015</v>
      </c>
      <c r="P123" s="60">
        <f t="shared" si="42"/>
        <v>52.745397964027596</v>
      </c>
      <c r="Q123" s="60">
        <f>N123-9.2</f>
        <v>90.8</v>
      </c>
      <c r="R123" s="138">
        <f>N123/9.2</f>
        <v>10.869565217391305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74707.98000000001</v>
      </c>
      <c r="G124" s="62">
        <f t="shared" si="37"/>
        <v>-19746.439999999988</v>
      </c>
      <c r="H124" s="72">
        <f t="shared" si="39"/>
        <v>79.0942128489064</v>
      </c>
      <c r="I124" s="61">
        <f t="shared" si="38"/>
        <v>-27362.339999999997</v>
      </c>
      <c r="J124" s="61">
        <f>F124/D124*100</f>
        <v>73.19265776770368</v>
      </c>
      <c r="K124" s="61">
        <f>F124-94046.5</f>
        <v>-19338.51999999999</v>
      </c>
      <c r="L124" s="139">
        <f>F124/94046.5</f>
        <v>0.7943727836761603</v>
      </c>
      <c r="M124" s="62">
        <f>M120+M121+M122+M123+M119</f>
        <v>11784.880000000008</v>
      </c>
      <c r="N124" s="62">
        <f>N120+N121+N122+N123+N119</f>
        <v>762.7900000000024</v>
      </c>
      <c r="O124" s="61">
        <f t="shared" si="41"/>
        <v>-11022.090000000006</v>
      </c>
      <c r="P124" s="61">
        <f t="shared" si="42"/>
        <v>6.472615758497343</v>
      </c>
      <c r="Q124" s="61">
        <f>N124-9944.1</f>
        <v>-9181.309999999998</v>
      </c>
      <c r="R124" s="139">
        <f>N124/9944.1</f>
        <v>0.07670779658289864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7379.37</v>
      </c>
      <c r="G128" s="49">
        <f aca="true" t="shared" si="43" ref="G128:G135">F128-E128</f>
        <v>-1319.63</v>
      </c>
      <c r="H128" s="40">
        <f>F128/E128*100</f>
        <v>84.8300954132659</v>
      </c>
      <c r="I128" s="60">
        <f aca="true" t="shared" si="44" ref="I128:I135">F128-D128</f>
        <v>-1320.63</v>
      </c>
      <c r="J128" s="60">
        <f>F128/D128*100</f>
        <v>84.8203448275862</v>
      </c>
      <c r="K128" s="60">
        <f>F128-10826.4</f>
        <v>-3447.0299999999997</v>
      </c>
      <c r="L128" s="138">
        <f>F128/10826.4</f>
        <v>0.6816088450454445</v>
      </c>
      <c r="M128" s="40">
        <f>E128-вересень!E128</f>
        <v>1980.5</v>
      </c>
      <c r="N128" s="40">
        <f>F128-вересень!F128</f>
        <v>10.489999999999782</v>
      </c>
      <c r="O128" s="53">
        <f aca="true" t="shared" si="45" ref="O128:O135">N128-M128</f>
        <v>-1970.0100000000002</v>
      </c>
      <c r="P128" s="60">
        <f>N128/M128*100</f>
        <v>0.5296642262054926</v>
      </c>
      <c r="Q128" s="60">
        <f>N128-2097.7</f>
        <v>-2087.21</v>
      </c>
      <c r="R128" s="162">
        <f>N128/2097.7</f>
        <v>0.005000715068884866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F129-0.8</f>
        <v>0.49</v>
      </c>
      <c r="L129" s="138">
        <f>F129/0.8</f>
        <v>1.6125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N129-(-0.3)</f>
        <v>0.51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7435.15</v>
      </c>
      <c r="G130" s="62">
        <f t="shared" si="43"/>
        <v>-1306.210000000001</v>
      </c>
      <c r="H130" s="72">
        <f>F130/E130*100</f>
        <v>85.05713069819798</v>
      </c>
      <c r="I130" s="61">
        <f t="shared" si="44"/>
        <v>-1315.550000000001</v>
      </c>
      <c r="J130" s="61">
        <f>F130/D130*100</f>
        <v>84.9663455494989</v>
      </c>
      <c r="K130" s="61">
        <f>F130-10959.2</f>
        <v>-3524.050000000001</v>
      </c>
      <c r="L130" s="139">
        <f>G130/10959.2</f>
        <v>-0.11918844441200095</v>
      </c>
      <c r="M130" s="62">
        <f>M125+M128+M129+M127</f>
        <v>1988.5</v>
      </c>
      <c r="N130" s="62">
        <f>N125+N128+N129+N127</f>
        <v>21.53999999999978</v>
      </c>
      <c r="O130" s="61">
        <f t="shared" si="45"/>
        <v>-1966.9600000000003</v>
      </c>
      <c r="P130" s="61">
        <f>N130/M130*100</f>
        <v>1.0832285642443942</v>
      </c>
      <c r="Q130" s="61">
        <f>N130-2098.3</f>
        <v>-2076.76</v>
      </c>
      <c r="R130" s="137">
        <f>N130/2098.3</f>
        <v>0.010265452985750262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33.03</v>
      </c>
      <c r="G131" s="49">
        <f>F131-E131</f>
        <v>8.780000000000001</v>
      </c>
      <c r="H131" s="40">
        <f>F131/E131*100</f>
        <v>136.20618556701032</v>
      </c>
      <c r="I131" s="60">
        <f>F131-D131</f>
        <v>3.030000000000001</v>
      </c>
      <c r="J131" s="60">
        <f>F131/D131*100</f>
        <v>110.1</v>
      </c>
      <c r="K131" s="60">
        <f>F131-28.2</f>
        <v>4.830000000000002</v>
      </c>
      <c r="L131" s="138">
        <f>F131/28.2</f>
        <v>1.171276595744681</v>
      </c>
      <c r="M131" s="40">
        <f>E131-вересень!E131</f>
        <v>0.8000000000000007</v>
      </c>
      <c r="N131" s="40">
        <f>F131-вересень!F131</f>
        <v>1.1700000000000017</v>
      </c>
      <c r="O131" s="53">
        <f>N131-M131</f>
        <v>0.370000000000001</v>
      </c>
      <c r="P131" s="60">
        <f>N131/M131*100</f>
        <v>146.25000000000009</v>
      </c>
      <c r="Q131" s="60">
        <f>N131-0.2</f>
        <v>0.9700000000000017</v>
      </c>
      <c r="R131" s="138">
        <f>N131/0.2</f>
        <v>5.8500000000000085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83783.94</v>
      </c>
      <c r="G134" s="50">
        <f t="shared" si="43"/>
        <v>-23014.98999999999</v>
      </c>
      <c r="H134" s="51">
        <f>F134/E134*100</f>
        <v>78.45016799325612</v>
      </c>
      <c r="I134" s="36">
        <f t="shared" si="44"/>
        <v>-31006.680000000008</v>
      </c>
      <c r="J134" s="36">
        <f>F134/D134*100</f>
        <v>72.98848982608509</v>
      </c>
      <c r="K134" s="36">
        <f>F134-108511.5</f>
        <v>-24727.559999999998</v>
      </c>
      <c r="L134" s="136">
        <f>F134/108511.5</f>
        <v>0.7721203743382038</v>
      </c>
      <c r="M134" s="31">
        <f>M117+M131+M124+M130+M133+M132</f>
        <v>14123.580000000009</v>
      </c>
      <c r="N134" s="31">
        <f>N117+N131+N124+N130+N133+N132</f>
        <v>811.520000000002</v>
      </c>
      <c r="O134" s="36">
        <f t="shared" si="45"/>
        <v>-13312.060000000007</v>
      </c>
      <c r="P134" s="36">
        <f>N134/M134*100</f>
        <v>5.745851972375287</v>
      </c>
      <c r="Q134" s="36">
        <f>N134-12149.2</f>
        <v>-11337.679999999998</v>
      </c>
      <c r="R134" s="136">
        <f>N134/12149.2</f>
        <v>0.06679616764889885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483983.97</v>
      </c>
      <c r="G135" s="50">
        <f t="shared" si="43"/>
        <v>-69380.18999999994</v>
      </c>
      <c r="H135" s="51">
        <f>F135/E135*100</f>
        <v>87.46210994221238</v>
      </c>
      <c r="I135" s="36">
        <f t="shared" si="44"/>
        <v>-137686.25</v>
      </c>
      <c r="J135" s="36">
        <f>F135/D135*100</f>
        <v>77.8522043407516</v>
      </c>
      <c r="K135" s="36">
        <f>F135-547461.7</f>
        <v>-63477.72999999998</v>
      </c>
      <c r="L135" s="136">
        <f>F135/547461.7</f>
        <v>0.8840508294918166</v>
      </c>
      <c r="M135" s="22">
        <f>M107+M134</f>
        <v>55961.47000000003</v>
      </c>
      <c r="N135" s="22">
        <f>N107+N134</f>
        <v>1441.3099999999806</v>
      </c>
      <c r="O135" s="36">
        <f t="shared" si="45"/>
        <v>-54520.16000000005</v>
      </c>
      <c r="P135" s="36">
        <f>N135/M135*100</f>
        <v>2.575539920591757</v>
      </c>
      <c r="Q135" s="36">
        <f>N135-53205.8</f>
        <v>-51764.49000000002</v>
      </c>
      <c r="R135" s="136">
        <f>N135/53205.8</f>
        <v>0.027089339883997244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19</v>
      </c>
      <c r="D137" s="4" t="s">
        <v>118</v>
      </c>
    </row>
    <row r="138" spans="2:17" ht="31.5">
      <c r="B138" s="78" t="s">
        <v>154</v>
      </c>
      <c r="C138" s="39">
        <f>IF(O107&lt;0,ABS(O107/C137),0)</f>
        <v>2168.847368421055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41946</v>
      </c>
      <c r="D139" s="39">
        <v>629.8</v>
      </c>
      <c r="N139" s="194"/>
      <c r="O139" s="194"/>
    </row>
    <row r="140" spans="3:15" ht="15.75">
      <c r="C140" s="120">
        <v>41943</v>
      </c>
      <c r="D140" s="39">
        <v>3346.7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41942</v>
      </c>
      <c r="D141" s="39">
        <v>4208.5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117287.90305</v>
      </c>
      <c r="E143" s="80"/>
      <c r="F143" s="100" t="s">
        <v>147</v>
      </c>
      <c r="G143" s="190" t="s">
        <v>149</v>
      </c>
      <c r="H143" s="190"/>
      <c r="I143" s="116">
        <v>108267.30652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16272.633139999998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16272.633139999998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2014-11-04T13:46:37Z</cp:lastPrinted>
  <dcterms:created xsi:type="dcterms:W3CDTF">2003-07-28T11:27:56Z</dcterms:created>
  <dcterms:modified xsi:type="dcterms:W3CDTF">2014-11-04T14:26:45Z</dcterms:modified>
  <cp:category/>
  <cp:version/>
  <cp:contentType/>
  <cp:contentStatus/>
</cp:coreProperties>
</file>